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Building\2023\"/>
    </mc:Choice>
  </mc:AlternateContent>
  <xr:revisionPtr revIDLastSave="0" documentId="8_{C316449E-DC48-447D-A1BA-C1735741A1F5}" xr6:coauthVersionLast="47" xr6:coauthVersionMax="47" xr10:uidLastSave="{00000000-0000-0000-0000-000000000000}"/>
  <bookViews>
    <workbookView xWindow="-120" yWindow="-120" windowWidth="29040" windowHeight="15840" xr2:uid="{2CEEBC3B-8B32-46F1-86B2-0CF4DDDDFCB9}"/>
  </bookViews>
  <sheets>
    <sheet name="Build-Plan Fees" sheetId="2" r:id="rId1"/>
    <sheet name="Valuation Calculations" sheetId="1" r:id="rId2"/>
    <sheet name="Invoice Wor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 l="1"/>
  <c r="D2" i="3" s="1"/>
  <c r="H21" i="3" s="1"/>
  <c r="I20" i="3"/>
  <c r="I21" i="3"/>
  <c r="I22" i="3"/>
  <c r="I23" i="3"/>
  <c r="I24" i="3"/>
  <c r="I25" i="3"/>
  <c r="I19" i="3"/>
  <c r="I6" i="3"/>
  <c r="I7" i="3"/>
  <c r="I8" i="3"/>
  <c r="I9" i="3"/>
  <c r="I10" i="3"/>
  <c r="I11" i="3"/>
  <c r="I12" i="3"/>
  <c r="I13" i="3"/>
  <c r="I1" i="1"/>
  <c r="I13" i="1"/>
  <c r="H11" i="3" l="1"/>
  <c r="G9" i="3"/>
  <c r="G19" i="3"/>
  <c r="H13" i="3"/>
  <c r="G10" i="3"/>
  <c r="G21" i="3"/>
  <c r="H19" i="3"/>
  <c r="G11" i="3"/>
  <c r="G25" i="3"/>
  <c r="H24" i="3"/>
  <c r="G12" i="3"/>
  <c r="H6" i="3"/>
  <c r="G7" i="3"/>
  <c r="G13" i="3"/>
  <c r="H7" i="3"/>
  <c r="G8" i="3"/>
  <c r="H22" i="3"/>
  <c r="G20" i="3"/>
  <c r="H8" i="3"/>
  <c r="H23" i="3"/>
  <c r="G22" i="3"/>
  <c r="H12" i="3"/>
  <c r="H25" i="3"/>
  <c r="G23" i="3"/>
  <c r="H9" i="3"/>
  <c r="H20" i="3"/>
  <c r="G6" i="3"/>
  <c r="G24" i="3"/>
  <c r="H10" i="3"/>
  <c r="I12" i="1"/>
  <c r="H13" i="1"/>
  <c r="N13" i="1" s="1"/>
  <c r="I11" i="1"/>
  <c r="H12" i="1"/>
  <c r="N12" i="1" s="1"/>
  <c r="N10" i="1"/>
  <c r="I2" i="1"/>
  <c r="E25" i="1" s="1"/>
  <c r="H25" i="1" s="1"/>
  <c r="I8" i="1"/>
  <c r="H11" i="1"/>
  <c r="N11" i="1" s="1"/>
  <c r="I10" i="1"/>
  <c r="H10" i="1"/>
  <c r="H14" i="1"/>
  <c r="N14" i="1" s="1"/>
  <c r="H8" i="1"/>
  <c r="N8" i="1" s="1"/>
  <c r="I14" i="1"/>
  <c r="I9" i="1"/>
  <c r="H9" i="1"/>
  <c r="N9" i="1" s="1"/>
  <c r="N7" i="1"/>
  <c r="G22" i="1"/>
  <c r="E22" i="1"/>
  <c r="L7" i="1"/>
  <c r="G26" i="3" l="1"/>
  <c r="G2" i="3" s="1"/>
  <c r="H26" i="3"/>
  <c r="I2" i="3" s="1"/>
  <c r="H14" i="3"/>
  <c r="I1" i="3" s="1"/>
  <c r="C16" i="2" s="1"/>
  <c r="G14" i="3"/>
  <c r="G1" i="3" s="1"/>
  <c r="E14" i="2" s="1"/>
  <c r="E26" i="1"/>
  <c r="E27" i="1"/>
  <c r="H27" i="1" s="1"/>
  <c r="F23" i="1"/>
  <c r="G23" i="1" s="1"/>
  <c r="F27" i="1"/>
  <c r="G27" i="1" s="1"/>
  <c r="F25" i="1"/>
  <c r="G25" i="1" s="1"/>
  <c r="H22" i="1"/>
  <c r="H26" i="1"/>
  <c r="F24" i="1"/>
  <c r="G24" i="1" s="1"/>
  <c r="E28" i="1"/>
  <c r="H28" i="1" s="1"/>
  <c r="E23" i="1"/>
  <c r="H23" i="1" s="1"/>
  <c r="F26" i="1"/>
  <c r="G26" i="1" s="1"/>
  <c r="E24" i="1"/>
  <c r="H24" i="1" s="1"/>
  <c r="F28" i="1"/>
  <c r="G28" i="1" s="1"/>
  <c r="L1" i="1"/>
  <c r="J11" i="1"/>
  <c r="K11" i="1" s="1"/>
  <c r="L11" i="1" s="1"/>
  <c r="J12" i="1"/>
  <c r="K12" i="1" s="1"/>
  <c r="L12" i="1" s="1"/>
  <c r="H7" i="1"/>
  <c r="J9" i="1"/>
  <c r="K9" i="1" s="1"/>
  <c r="L9" i="1" s="1"/>
  <c r="J10" i="1"/>
  <c r="K10" i="1" s="1"/>
  <c r="L10" i="1" s="1"/>
  <c r="J13" i="1"/>
  <c r="K13" i="1" s="1"/>
  <c r="L13" i="1" s="1"/>
  <c r="J14" i="1"/>
  <c r="K14" i="1" s="1"/>
  <c r="L14" i="1" s="1"/>
  <c r="J8" i="1"/>
  <c r="K8" i="1" s="1"/>
  <c r="L8" i="1" s="1"/>
  <c r="N1" i="1" l="1"/>
  <c r="L2" i="1"/>
  <c r="N2" i="1" s="1"/>
  <c r="G13" i="2" l="1"/>
  <c r="G19" i="2" s="1"/>
  <c r="G40" i="2" s="1"/>
</calcChain>
</file>

<file path=xl/sharedStrings.xml><?xml version="1.0" encoding="utf-8"?>
<sst xmlns="http://schemas.openxmlformats.org/spreadsheetml/2006/main" count="103" uniqueCount="63">
  <si>
    <t>Resolution No. 750</t>
  </si>
  <si>
    <t>Residential Building Permit Base Fee</t>
  </si>
  <si>
    <t>Total Valuation</t>
  </si>
  <si>
    <t>Min</t>
  </si>
  <si>
    <t>Max</t>
  </si>
  <si>
    <t>Base Fee</t>
  </si>
  <si>
    <t>Additional Fee</t>
  </si>
  <si>
    <t>$</t>
  </si>
  <si>
    <t>For the 1st $</t>
  </si>
  <si>
    <t>Up to</t>
  </si>
  <si>
    <t>and up</t>
  </si>
  <si>
    <t>Per each $</t>
  </si>
  <si>
    <t>Commercial Building Permit Base Fee</t>
  </si>
  <si>
    <t xml:space="preserve">and up </t>
  </si>
  <si>
    <t>Plus a %</t>
  </si>
  <si>
    <t>Calculation</t>
  </si>
  <si>
    <t>Test of Calculation</t>
  </si>
  <si>
    <t>Valuation</t>
  </si>
  <si>
    <t>Plan Review Fee</t>
  </si>
  <si>
    <t>Plan Review Fee - 65% of the Building Permit Fee</t>
  </si>
  <si>
    <t>Residentional Only - 2nd Submittal if plans sets are identical for 1 or 2 family dwelling. 50% of the 1st Plan Review fee</t>
  </si>
  <si>
    <t>Permit Fee Calculation</t>
  </si>
  <si>
    <t>Building Department</t>
  </si>
  <si>
    <t>Site Address:</t>
  </si>
  <si>
    <t>Fees Calculated Bases on Resolution 750</t>
  </si>
  <si>
    <t>Project Valuation:</t>
  </si>
  <si>
    <t>Building and Planning Fee Calculation</t>
  </si>
  <si>
    <t>Select Construction Type:</t>
  </si>
  <si>
    <t>Building Fee</t>
  </si>
  <si>
    <t>Planning Fee</t>
  </si>
  <si>
    <t>Residential</t>
  </si>
  <si>
    <t xml:space="preserve">Commercial </t>
  </si>
  <si>
    <t>Building Permit Fee</t>
  </si>
  <si>
    <t>65% of Building Permit Fee</t>
  </si>
  <si>
    <t>TOTAL DUE:</t>
  </si>
  <si>
    <t>NOTE: Only update the white boxes. Gray and blue cells have calculations.</t>
  </si>
  <si>
    <t>Valuation Range to return</t>
  </si>
  <si>
    <t>Text Return</t>
  </si>
  <si>
    <t>$37.00 for the first $500.00 plus $5.00 for additional $100.00, or fraction thereof, to and including $2,000.00</t>
  </si>
  <si>
    <t>$112.00 for the first $2,000.00 plus $15.50 for additional $1,000.00, or fraction thereof, to and including $25,000.00</t>
  </si>
  <si>
    <t>$537.50 for the first $25,000.00 plus $13.00 for additional $1,000.00, or fraction thereof, to and including $50,000.00</t>
  </si>
  <si>
    <t>$862.50 for the first $50,000.00 plus $10.50 for additional $1,000.00, or fraction thereof, to and including $100,000.00</t>
  </si>
  <si>
    <t>$1,387.50 for the first $100,000.00 plus $8.10 for additional $1,000.00, or fraction thereof, to and including $500,000.00</t>
  </si>
  <si>
    <t>$4,627.50 for the first $500,000.00 plus $7.00 for additional $1,000.00, or fraction thereof, to and including $1,000,000.00</t>
  </si>
  <si>
    <t>$8,127.50 for the first $1,000,000.00 plus $5.50 for additional $1,000.00, or fraction thereof</t>
  </si>
  <si>
    <t>$47.00 plus 3.5% of the value.</t>
  </si>
  <si>
    <t>$82.00 plus 3.05% of the value.</t>
  </si>
  <si>
    <t>$234.00 plus 1.8% of the value.</t>
  </si>
  <si>
    <t>$1,127.00 plus 1.05% of the value.</t>
  </si>
  <si>
    <t>$3,752.00 plus .85% of the value.</t>
  </si>
  <si>
    <t>Flat Fee</t>
  </si>
  <si>
    <t>Valuation Range:</t>
  </si>
  <si>
    <t>Fee Calculation:</t>
  </si>
  <si>
    <t>Range</t>
  </si>
  <si>
    <t>Commercial</t>
  </si>
  <si>
    <t>$12,152.00 plus .47% of the value.</t>
  </si>
  <si>
    <t xml:space="preserve">(Click in the yellow box and use the drop down </t>
  </si>
  <si>
    <t>arrow to select an option from the list)</t>
  </si>
  <si>
    <t>ESTIMATE OF FEES</t>
  </si>
  <si>
    <t>PLEASE NOTE THAT THIS IS AN ESTIMATE OF BUILDING PERMIT FEES. AT THE TIME OF PERMIT SUBMITTAL, BUILDING PERMIT FEES WILL BE CALCULATED AND INVOICED TO YOU. THIS CALCULATION DOES NOT INCLUDE MECHANICAL OR PLUMBING PERMIT FEES. PLEASE REFER TO THE FEE RESOLUSION FOR MORE INORMATION ON MECHANICAL AND PLUMBING PERMIT FEES</t>
  </si>
  <si>
    <t>CLICK HERE TO VIEW THE FEE RESLOUTION</t>
  </si>
  <si>
    <t xml:space="preserve">Only fill in the Yellow Boxes </t>
  </si>
  <si>
    <t>This is the total cost of the project at a contractors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</si>
</sst>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11"/>
      <color rgb="FFFF0000"/>
      <name val="Calibri"/>
      <family val="2"/>
      <scheme val="minor"/>
    </font>
    <font>
      <u/>
      <sz val="11"/>
      <color theme="1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44" fontId="0" fillId="0" borderId="0" xfId="1" applyFont="1"/>
    <xf numFmtId="0" fontId="0" fillId="0" borderId="0" xfId="1" applyNumberFormat="1" applyFont="1"/>
    <xf numFmtId="44" fontId="0" fillId="0" borderId="0" xfId="1" applyFont="1" applyProtection="1"/>
    <xf numFmtId="10" fontId="0" fillId="0" borderId="0" xfId="2" applyNumberFormat="1" applyFont="1"/>
    <xf numFmtId="0" fontId="3" fillId="2" borderId="0" xfId="0" applyFont="1" applyFill="1"/>
    <xf numFmtId="0" fontId="3" fillId="2" borderId="0" xfId="1" applyNumberFormat="1" applyFont="1" applyFill="1"/>
    <xf numFmtId="0" fontId="0" fillId="2" borderId="0" xfId="0" applyFill="1"/>
    <xf numFmtId="44" fontId="0" fillId="2" borderId="0" xfId="1" applyFont="1" applyFill="1"/>
    <xf numFmtId="44" fontId="3" fillId="2" borderId="0" xfId="1" applyFont="1" applyFill="1"/>
    <xf numFmtId="9" fontId="0" fillId="0" borderId="0" xfId="0" applyNumberFormat="1"/>
    <xf numFmtId="0" fontId="0" fillId="3" borderId="0" xfId="0" applyFill="1"/>
    <xf numFmtId="44" fontId="0" fillId="3" borderId="0" xfId="1" applyFont="1" applyFill="1"/>
    <xf numFmtId="0" fontId="2" fillId="4" borderId="0" xfId="0" applyFont="1" applyFill="1"/>
    <xf numFmtId="0" fontId="0" fillId="2" borderId="4" xfId="0" applyFill="1" applyBorder="1"/>
    <xf numFmtId="44" fontId="0" fillId="2" borderId="4" xfId="1" applyFont="1" applyFill="1" applyBorder="1"/>
    <xf numFmtId="44" fontId="0" fillId="2" borderId="0" xfId="1" applyFont="1" applyFill="1" applyBorder="1"/>
    <xf numFmtId="44" fontId="0" fillId="2" borderId="5" xfId="1" applyFont="1" applyFill="1" applyBorder="1"/>
    <xf numFmtId="44" fontId="0" fillId="2" borderId="6" xfId="1" applyFont="1" applyFill="1" applyBorder="1"/>
    <xf numFmtId="44" fontId="0" fillId="2" borderId="7" xfId="1" applyFont="1" applyFill="1" applyBorder="1"/>
    <xf numFmtId="44" fontId="0" fillId="2" borderId="8" xfId="1" applyFont="1" applyFill="1" applyBorder="1"/>
    <xf numFmtId="44" fontId="0" fillId="2" borderId="5" xfId="0" applyNumberFormat="1" applyFill="1" applyBorder="1"/>
    <xf numFmtId="44" fontId="0" fillId="8" borderId="0" xfId="1" applyFont="1" applyFill="1"/>
    <xf numFmtId="44" fontId="0" fillId="8" borderId="0" xfId="0" applyNumberFormat="1" applyFill="1"/>
    <xf numFmtId="0" fontId="3" fillId="6" borderId="0" xfId="1" applyNumberFormat="1" applyFont="1" applyFill="1" applyAlignment="1">
      <alignment horizontal="center"/>
    </xf>
    <xf numFmtId="0" fontId="3" fillId="6" borderId="0" xfId="0" applyFont="1" applyFill="1" applyAlignment="1">
      <alignment horizontal="center"/>
    </xf>
    <xf numFmtId="44" fontId="3" fillId="6" borderId="0" xfId="1" applyFont="1" applyFill="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5" fillId="0" borderId="0" xfId="0" applyFont="1" applyAlignment="1">
      <alignment vertical="top"/>
    </xf>
    <xf numFmtId="0" fontId="5" fillId="0" borderId="0" xfId="0" applyFont="1" applyAlignment="1">
      <alignment vertical="top" wrapText="1"/>
    </xf>
    <xf numFmtId="0" fontId="6" fillId="2" borderId="0" xfId="1" applyNumberFormat="1" applyFont="1" applyFill="1"/>
    <xf numFmtId="0" fontId="6" fillId="2" borderId="0" xfId="0" applyFont="1" applyFill="1"/>
    <xf numFmtId="0" fontId="7" fillId="0" borderId="0" xfId="0" applyFont="1"/>
    <xf numFmtId="0" fontId="6" fillId="6" borderId="0" xfId="1" applyNumberFormat="1" applyFont="1" applyFill="1" applyAlignment="1">
      <alignment horizontal="center"/>
    </xf>
    <xf numFmtId="0" fontId="6" fillId="6" borderId="0" xfId="0" applyFont="1" applyFill="1" applyAlignment="1">
      <alignment horizontal="center"/>
    </xf>
    <xf numFmtId="44" fontId="7" fillId="0" borderId="0" xfId="1" applyFont="1"/>
    <xf numFmtId="44" fontId="7" fillId="0" borderId="0" xfId="1" applyFont="1" applyProtection="1"/>
    <xf numFmtId="0" fontId="7" fillId="6" borderId="0" xfId="0" applyFont="1" applyFill="1"/>
    <xf numFmtId="0" fontId="7" fillId="0" borderId="0" xfId="1" applyNumberFormat="1" applyFont="1"/>
    <xf numFmtId="10" fontId="7" fillId="0" borderId="0" xfId="2" applyNumberFormat="1" applyFont="1"/>
    <xf numFmtId="0" fontId="7" fillId="6" borderId="0" xfId="1" applyNumberFormat="1" applyFont="1" applyFill="1"/>
    <xf numFmtId="0" fontId="7" fillId="2" borderId="0" xfId="0" applyFont="1" applyFill="1"/>
    <xf numFmtId="0" fontId="7" fillId="2" borderId="0" xfId="1" applyNumberFormat="1" applyFont="1" applyFill="1"/>
    <xf numFmtId="44" fontId="7" fillId="2" borderId="0" xfId="1" applyFont="1" applyFill="1"/>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1" xfId="1" applyNumberFormat="1" applyFont="1" applyFill="1" applyBorder="1" applyAlignment="1">
      <alignment horizontal="center"/>
    </xf>
    <xf numFmtId="0" fontId="3" fillId="6" borderId="3" xfId="1" applyNumberFormat="1" applyFont="1" applyFill="1" applyBorder="1" applyAlignment="1">
      <alignment horizontal="center"/>
    </xf>
    <xf numFmtId="0" fontId="0" fillId="7" borderId="0" xfId="0" applyFill="1" applyAlignment="1">
      <alignment horizontal="left" vertical="top" wrapText="1"/>
    </xf>
    <xf numFmtId="0" fontId="0" fillId="0" borderId="9" xfId="0" applyBorder="1" applyAlignment="1" applyProtection="1">
      <alignment horizontal="center"/>
      <protection locked="0"/>
    </xf>
    <xf numFmtId="44" fontId="0" fillId="7" borderId="9" xfId="1" applyFont="1" applyFill="1" applyBorder="1" applyAlignment="1" applyProtection="1">
      <protection locked="0"/>
    </xf>
    <xf numFmtId="0" fontId="0" fillId="7" borderId="0" xfId="0" applyFill="1" applyAlignment="1" applyProtection="1">
      <alignment horizontal="center"/>
      <protection locked="0"/>
    </xf>
    <xf numFmtId="0" fontId="0" fillId="0" borderId="0" xfId="0" applyProtection="1"/>
    <xf numFmtId="0" fontId="4" fillId="9" borderId="0" xfId="0" applyFont="1" applyFill="1" applyProtection="1"/>
    <xf numFmtId="0" fontId="0" fillId="9" borderId="0" xfId="0" applyFill="1" applyProtection="1"/>
    <xf numFmtId="0" fontId="0" fillId="0" borderId="0" xfId="0" applyAlignment="1" applyProtection="1">
      <alignment horizontal="left"/>
    </xf>
    <xf numFmtId="44" fontId="0" fillId="0" borderId="0" xfId="1" applyFont="1" applyAlignment="1" applyProtection="1">
      <alignment horizontal="center"/>
    </xf>
    <xf numFmtId="0" fontId="0" fillId="0" borderId="0" xfId="0" applyAlignment="1" applyProtection="1">
      <alignment horizontal="left"/>
    </xf>
    <xf numFmtId="0" fontId="4" fillId="0" borderId="0" xfId="0" applyFont="1" applyProtection="1"/>
    <xf numFmtId="0" fontId="0" fillId="0" borderId="0" xfId="0" applyAlignment="1" applyProtection="1">
      <alignment horizontal="left" vertical="top" wrapText="1"/>
    </xf>
    <xf numFmtId="10" fontId="0" fillId="0" borderId="0" xfId="0" applyNumberFormat="1" applyProtection="1"/>
    <xf numFmtId="0" fontId="8" fillId="0" borderId="0" xfId="0" applyFont="1" applyAlignment="1" applyProtection="1">
      <alignment horizontal="center" wrapText="1"/>
    </xf>
    <xf numFmtId="0" fontId="9" fillId="0" borderId="0" xfId="3" applyAlignment="1" applyProtection="1">
      <alignment horizontal="center"/>
    </xf>
    <xf numFmtId="0" fontId="0" fillId="2" borderId="0" xfId="0" applyFill="1" applyProtection="1"/>
    <xf numFmtId="44" fontId="0" fillId="2" borderId="0" xfId="0" applyNumberFormat="1" applyFill="1" applyAlignment="1" applyProtection="1">
      <alignment horizontal="center"/>
    </xf>
    <xf numFmtId="0" fontId="0" fillId="2" borderId="0" xfId="0" applyFill="1" applyAlignment="1" applyProtection="1">
      <alignment horizontal="center"/>
    </xf>
    <xf numFmtId="0" fontId="0" fillId="0" borderId="0" xfId="0" applyAlignment="1" applyProtection="1">
      <alignment horizontal="center"/>
    </xf>
    <xf numFmtId="0" fontId="0" fillId="9" borderId="0" xfId="0" applyFill="1" applyAlignment="1" applyProtection="1">
      <alignment horizontal="center"/>
    </xf>
    <xf numFmtId="0" fontId="0" fillId="5" borderId="9" xfId="0" applyFill="1" applyBorder="1" applyProtection="1"/>
    <xf numFmtId="0" fontId="3" fillId="0" borderId="0" xfId="0" applyFont="1" applyProtection="1"/>
    <xf numFmtId="0" fontId="8" fillId="0" borderId="0" xfId="0" applyFont="1" applyAlignment="1" applyProtection="1">
      <alignment horizontal="center"/>
    </xf>
    <xf numFmtId="0" fontId="3" fillId="0" borderId="0" xfId="0" applyFont="1" applyAlignment="1" applyProtection="1">
      <alignment horizontal="right"/>
    </xf>
    <xf numFmtId="0" fontId="4" fillId="0" borderId="0" xfId="0" applyFont="1" applyAlignment="1" applyProtection="1">
      <alignment horizontal="righ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2</xdr:col>
      <xdr:colOff>38100</xdr:colOff>
      <xdr:row>3</xdr:row>
      <xdr:rowOff>180975</xdr:rowOff>
    </xdr:to>
    <xdr:pic>
      <xdr:nvPicPr>
        <xdr:cNvPr id="2" name="image1.jpeg">
          <a:extLst>
            <a:ext uri="{FF2B5EF4-FFF2-40B4-BE49-F238E27FC236}">
              <a16:creationId xmlns:a16="http://schemas.microsoft.com/office/drawing/2014/main" id="{144FC31D-EA82-4211-8721-485D51F248FB}"/>
            </a:ext>
          </a:extLst>
        </xdr:cNvPr>
        <xdr:cNvPicPr/>
      </xdr:nvPicPr>
      <xdr:blipFill>
        <a:blip xmlns:r="http://schemas.openxmlformats.org/officeDocument/2006/relationships" r:embed="rId1" cstate="print"/>
        <a:stretch>
          <a:fillRect/>
        </a:stretch>
      </xdr:blipFill>
      <xdr:spPr>
        <a:xfrm>
          <a:off x="142875" y="104775"/>
          <a:ext cx="154305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woodland.wa.us/clerktreasurer/page/fee-resolu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473B-6A7C-49D9-BC1F-CC053DCE4D74}">
  <dimension ref="A1:L40"/>
  <sheetViews>
    <sheetView tabSelected="1" view="pageLayout" zoomScaleNormal="100" zoomScaleSheetLayoutView="112" workbookViewId="0">
      <selection activeCell="F8" sqref="F8"/>
    </sheetView>
  </sheetViews>
  <sheetFormatPr defaultRowHeight="15" x14ac:dyDescent="0.25"/>
  <cols>
    <col min="1" max="1" width="13.85546875" style="54" customWidth="1"/>
    <col min="2" max="3" width="9.140625" style="54"/>
    <col min="4" max="4" width="7.7109375" style="54" customWidth="1"/>
    <col min="5" max="5" width="15.5703125" style="54" customWidth="1"/>
    <col min="6" max="6" width="15.140625" style="54" bestFit="1" customWidth="1"/>
    <col min="7" max="16384" width="9.140625" style="54"/>
  </cols>
  <sheetData>
    <row r="1" spans="1:12" x14ac:dyDescent="0.25">
      <c r="H1" s="73" t="s">
        <v>21</v>
      </c>
      <c r="J1" s="73"/>
      <c r="K1" s="73"/>
      <c r="L1" s="73"/>
    </row>
    <row r="2" spans="1:12" x14ac:dyDescent="0.25">
      <c r="H2" s="73" t="s">
        <v>22</v>
      </c>
      <c r="J2" s="73"/>
      <c r="K2" s="73"/>
      <c r="L2" s="73"/>
    </row>
    <row r="4" spans="1:12" x14ac:dyDescent="0.25">
      <c r="H4" s="74" t="s">
        <v>24</v>
      </c>
    </row>
    <row r="6" spans="1:12" x14ac:dyDescent="0.25">
      <c r="A6" s="72" t="s">
        <v>58</v>
      </c>
      <c r="B6" s="72"/>
      <c r="C6" s="72"/>
      <c r="E6" s="71" t="s">
        <v>23</v>
      </c>
      <c r="F6" s="51"/>
      <c r="G6" s="51"/>
      <c r="H6" s="51"/>
    </row>
    <row r="7" spans="1:12" x14ac:dyDescent="0.25">
      <c r="A7" s="69" t="s">
        <v>61</v>
      </c>
      <c r="B7" s="69"/>
      <c r="C7" s="69"/>
    </row>
    <row r="8" spans="1:12" x14ac:dyDescent="0.25">
      <c r="E8" s="71" t="s">
        <v>25</v>
      </c>
      <c r="F8" s="52">
        <v>0</v>
      </c>
      <c r="G8" s="70"/>
      <c r="H8" s="70"/>
    </row>
    <row r="9" spans="1:12" x14ac:dyDescent="0.25">
      <c r="E9" s="69" t="s">
        <v>62</v>
      </c>
      <c r="F9" s="69"/>
      <c r="G9" s="69"/>
      <c r="H9" s="69"/>
    </row>
    <row r="10" spans="1:12" x14ac:dyDescent="0.25">
      <c r="A10" s="67" t="s">
        <v>26</v>
      </c>
      <c r="B10" s="67"/>
      <c r="C10" s="67"/>
      <c r="D10" s="67"/>
      <c r="E10" s="67"/>
      <c r="F10" s="67"/>
      <c r="G10" s="67"/>
      <c r="H10" s="67"/>
    </row>
    <row r="11" spans="1:12" x14ac:dyDescent="0.25">
      <c r="A11" s="68" t="s">
        <v>27</v>
      </c>
      <c r="B11" s="68"/>
      <c r="C11" s="53" t="s">
        <v>54</v>
      </c>
      <c r="D11" s="53"/>
      <c r="E11" s="55" t="s">
        <v>56</v>
      </c>
      <c r="F11" s="56"/>
      <c r="G11" s="56"/>
    </row>
    <row r="12" spans="1:12" x14ac:dyDescent="0.25">
      <c r="E12" s="55" t="s">
        <v>57</v>
      </c>
      <c r="F12" s="56"/>
      <c r="G12" s="56"/>
    </row>
    <row r="13" spans="1:12" x14ac:dyDescent="0.25">
      <c r="B13" s="57" t="s">
        <v>32</v>
      </c>
      <c r="C13" s="57"/>
      <c r="G13" s="58">
        <f>IF(C11="Commercial",'Valuation Calculations'!L2,'Valuation Calculations'!L1)</f>
        <v>40.5</v>
      </c>
      <c r="H13" s="58"/>
    </row>
    <row r="14" spans="1:12" x14ac:dyDescent="0.25">
      <c r="B14" s="59"/>
      <c r="C14" s="60" t="s">
        <v>51</v>
      </c>
      <c r="E14" s="57">
        <f>IF(C11="Residential",'Invoice Wording'!G1,'Invoice Wording'!G2)</f>
        <v>0</v>
      </c>
      <c r="F14" s="57"/>
    </row>
    <row r="15" spans="1:12" x14ac:dyDescent="0.25">
      <c r="C15" s="60" t="s">
        <v>52</v>
      </c>
    </row>
    <row r="16" spans="1:12" x14ac:dyDescent="0.25">
      <c r="C16" s="61">
        <f>IF(C11="Residential",'Invoice Wording'!I1,'Invoice Wording'!I2)</f>
        <v>0</v>
      </c>
      <c r="D16" s="61"/>
      <c r="E16" s="61"/>
      <c r="F16" s="61"/>
    </row>
    <row r="17" spans="1:8" x14ac:dyDescent="0.25">
      <c r="C17" s="61"/>
      <c r="D17" s="61"/>
      <c r="E17" s="61"/>
      <c r="F17" s="61"/>
    </row>
    <row r="19" spans="1:8" x14ac:dyDescent="0.25">
      <c r="B19" s="57" t="s">
        <v>18</v>
      </c>
      <c r="C19" s="57"/>
      <c r="G19" s="58">
        <f>G13*65%</f>
        <v>26.324999999999999</v>
      </c>
      <c r="H19" s="58"/>
    </row>
    <row r="20" spans="1:8" x14ac:dyDescent="0.25">
      <c r="C20" s="54" t="s">
        <v>33</v>
      </c>
    </row>
    <row r="28" spans="1:8" x14ac:dyDescent="0.25">
      <c r="F28" s="62"/>
    </row>
    <row r="31" spans="1:8" x14ac:dyDescent="0.25">
      <c r="A31" s="63" t="s">
        <v>59</v>
      </c>
      <c r="B31" s="63"/>
      <c r="C31" s="63"/>
      <c r="D31" s="63"/>
      <c r="E31" s="63"/>
      <c r="F31" s="63"/>
      <c r="G31" s="63"/>
      <c r="H31" s="63"/>
    </row>
    <row r="32" spans="1:8" x14ac:dyDescent="0.25">
      <c r="A32" s="63"/>
      <c r="B32" s="63"/>
      <c r="C32" s="63"/>
      <c r="D32" s="63"/>
      <c r="E32" s="63"/>
      <c r="F32" s="63"/>
      <c r="G32" s="63"/>
      <c r="H32" s="63"/>
    </row>
    <row r="33" spans="1:8" x14ac:dyDescent="0.25">
      <c r="A33" s="63"/>
      <c r="B33" s="63"/>
      <c r="C33" s="63"/>
      <c r="D33" s="63"/>
      <c r="E33" s="63"/>
      <c r="F33" s="63"/>
      <c r="G33" s="63"/>
      <c r="H33" s="63"/>
    </row>
    <row r="34" spans="1:8" x14ac:dyDescent="0.25">
      <c r="A34" s="63"/>
      <c r="B34" s="63"/>
      <c r="C34" s="63"/>
      <c r="D34" s="63"/>
      <c r="E34" s="63"/>
      <c r="F34" s="63"/>
      <c r="G34" s="63"/>
      <c r="H34" s="63"/>
    </row>
    <row r="35" spans="1:8" x14ac:dyDescent="0.25">
      <c r="A35" s="63"/>
      <c r="B35" s="63"/>
      <c r="C35" s="63"/>
      <c r="D35" s="63"/>
      <c r="E35" s="63"/>
      <c r="F35" s="63"/>
      <c r="G35" s="63"/>
      <c r="H35" s="63"/>
    </row>
    <row r="36" spans="1:8" x14ac:dyDescent="0.25">
      <c r="A36" s="63"/>
      <c r="B36" s="63"/>
      <c r="C36" s="63"/>
      <c r="D36" s="63"/>
      <c r="E36" s="63"/>
      <c r="F36" s="63"/>
      <c r="G36" s="63"/>
      <c r="H36" s="63"/>
    </row>
    <row r="37" spans="1:8" x14ac:dyDescent="0.25">
      <c r="A37" s="64" t="s">
        <v>60</v>
      </c>
      <c r="B37" s="64"/>
      <c r="C37" s="64"/>
      <c r="D37" s="64"/>
      <c r="E37" s="64"/>
      <c r="F37" s="64"/>
      <c r="G37" s="64"/>
      <c r="H37" s="64"/>
    </row>
    <row r="40" spans="1:8" x14ac:dyDescent="0.25">
      <c r="A40" s="65"/>
      <c r="B40" s="65"/>
      <c r="C40" s="65"/>
      <c r="D40" s="65"/>
      <c r="E40" s="65"/>
      <c r="F40" s="65" t="s">
        <v>34</v>
      </c>
      <c r="G40" s="66">
        <f>G13+G19</f>
        <v>66.825000000000003</v>
      </c>
      <c r="H40" s="67"/>
    </row>
  </sheetData>
  <sheetProtection algorithmName="SHA-512" hashValue="OuDn1BGCO3jFL2yiB0Fg3rI7u2iBlwBmLFOSeyh4V4VQ6SdJMe8I6xG596RiMNmIREDOY1YHDljQSZKdyUXF+w==" saltValue="7SRZ3nLpWSP2GyyM/LFaSg==" spinCount="100000" sheet="1" objects="1" scenarios="1" selectLockedCells="1"/>
  <mergeCells count="16">
    <mergeCell ref="F6:H6"/>
    <mergeCell ref="A10:H10"/>
    <mergeCell ref="A31:H36"/>
    <mergeCell ref="A6:C6"/>
    <mergeCell ref="A7:C7"/>
    <mergeCell ref="E9:H9"/>
    <mergeCell ref="G40:H40"/>
    <mergeCell ref="E14:F14"/>
    <mergeCell ref="C16:F17"/>
    <mergeCell ref="A11:B11"/>
    <mergeCell ref="C11:D11"/>
    <mergeCell ref="B13:C13"/>
    <mergeCell ref="G13:H13"/>
    <mergeCell ref="B19:C19"/>
    <mergeCell ref="G19:H19"/>
    <mergeCell ref="A37:H37"/>
  </mergeCells>
  <dataValidations count="1">
    <dataValidation type="list" allowBlank="1" showInputMessage="1" showErrorMessage="1" promptTitle="Select one" sqref="C11:D11" xr:uid="{2AAEB990-F210-4AB6-A5A4-FD3F9A5DC940}">
      <formula1>"Residential,Commercial"</formula1>
    </dataValidation>
  </dataValidations>
  <hyperlinks>
    <hyperlink ref="A37:H37" r:id="rId1" display="CLICK HERE TO VIEW THE FEE RESLOUTION" xr:uid="{40D99A65-6362-4DE9-B341-D10A42E8683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A7BA-B886-49CD-AD9A-0D72D16912F2}">
  <dimension ref="A1:N34"/>
  <sheetViews>
    <sheetView workbookViewId="0">
      <selection activeCell="H24" sqref="H24"/>
    </sheetView>
  </sheetViews>
  <sheetFormatPr defaultRowHeight="15" x14ac:dyDescent="0.25"/>
  <cols>
    <col min="1" max="1" width="15.42578125" customWidth="1"/>
    <col min="2" max="2" width="14.85546875" customWidth="1"/>
    <col min="3" max="3" width="14.42578125" bestFit="1" customWidth="1"/>
    <col min="4" max="4" width="14.28515625" customWidth="1"/>
    <col min="5" max="5" width="16.28515625" customWidth="1"/>
    <col min="6" max="6" width="12.85546875" customWidth="1"/>
    <col min="7" max="7" width="14.42578125" bestFit="1" customWidth="1"/>
    <col min="8" max="9" width="14.28515625" bestFit="1" customWidth="1"/>
    <col min="10" max="10" width="10.5703125" bestFit="1" customWidth="1"/>
    <col min="11" max="11" width="12.42578125" customWidth="1"/>
    <col min="12" max="12" width="11.5703125" bestFit="1" customWidth="1"/>
    <col min="13" max="13" width="14.5703125" style="1" bestFit="1" customWidth="1"/>
  </cols>
  <sheetData>
    <row r="1" spans="1:14" x14ac:dyDescent="0.25">
      <c r="A1" t="s">
        <v>0</v>
      </c>
      <c r="G1" s="13" t="s">
        <v>30</v>
      </c>
      <c r="H1" s="11" t="s">
        <v>17</v>
      </c>
      <c r="I1" s="22">
        <f>'Build-Plan Fees'!F8</f>
        <v>0</v>
      </c>
      <c r="K1" s="11" t="s">
        <v>28</v>
      </c>
      <c r="L1" s="23">
        <f>SUM(N7:N14)</f>
        <v>37</v>
      </c>
      <c r="M1" s="12" t="s">
        <v>29</v>
      </c>
      <c r="N1" s="23">
        <f>L1*65%</f>
        <v>24.05</v>
      </c>
    </row>
    <row r="2" spans="1:14" x14ac:dyDescent="0.25">
      <c r="A2" s="2"/>
      <c r="C2" s="2"/>
      <c r="D2" s="2"/>
      <c r="E2" s="2"/>
      <c r="G2" s="13" t="s">
        <v>31</v>
      </c>
      <c r="H2" s="11" t="s">
        <v>17</v>
      </c>
      <c r="I2" s="22">
        <f>I1</f>
        <v>0</v>
      </c>
      <c r="K2" s="11" t="s">
        <v>28</v>
      </c>
      <c r="L2" s="23">
        <f>SUM(H22:H28)</f>
        <v>40.5</v>
      </c>
      <c r="M2" s="12" t="s">
        <v>29</v>
      </c>
      <c r="N2" s="22">
        <f>L2*65%</f>
        <v>26.324999999999999</v>
      </c>
    </row>
    <row r="3" spans="1:14" x14ac:dyDescent="0.25">
      <c r="A3" s="6" t="s">
        <v>1</v>
      </c>
      <c r="B3" s="5"/>
      <c r="C3" s="6"/>
      <c r="D3" s="6"/>
      <c r="E3" s="6"/>
      <c r="F3" s="5"/>
      <c r="G3" s="5"/>
      <c r="H3" s="5"/>
      <c r="I3" s="5"/>
      <c r="J3" s="5"/>
      <c r="K3" s="5"/>
      <c r="L3" s="5"/>
      <c r="M3" s="9"/>
      <c r="N3" s="7"/>
    </row>
    <row r="4" spans="1:14" ht="15.75" thickBot="1" x14ac:dyDescent="0.3">
      <c r="A4" s="2"/>
      <c r="C4" s="2"/>
      <c r="D4" s="2"/>
      <c r="E4" s="2"/>
    </row>
    <row r="5" spans="1:14" x14ac:dyDescent="0.25">
      <c r="A5" s="24" t="s">
        <v>2</v>
      </c>
      <c r="B5" s="25"/>
      <c r="C5" s="24" t="s">
        <v>5</v>
      </c>
      <c r="D5" s="24"/>
      <c r="E5" s="24" t="s">
        <v>6</v>
      </c>
      <c r="F5" s="25"/>
      <c r="G5" s="25" t="s">
        <v>9</v>
      </c>
      <c r="H5" s="25" t="s">
        <v>15</v>
      </c>
      <c r="I5" s="45" t="s">
        <v>16</v>
      </c>
      <c r="J5" s="46"/>
      <c r="K5" s="46"/>
      <c r="L5" s="47"/>
      <c r="M5" s="26"/>
      <c r="N5" s="25"/>
    </row>
    <row r="6" spans="1:14" x14ac:dyDescent="0.25">
      <c r="A6" s="24" t="s">
        <v>3</v>
      </c>
      <c r="B6" s="25" t="s">
        <v>4</v>
      </c>
      <c r="C6" s="24" t="s">
        <v>7</v>
      </c>
      <c r="D6" s="24" t="s">
        <v>8</v>
      </c>
      <c r="E6" s="24" t="s">
        <v>7</v>
      </c>
      <c r="F6" s="24" t="s">
        <v>11</v>
      </c>
      <c r="G6" s="25"/>
      <c r="H6" s="25"/>
      <c r="I6" s="27"/>
      <c r="J6" s="25"/>
      <c r="K6" s="25"/>
      <c r="L6" s="28"/>
      <c r="M6" s="26"/>
      <c r="N6" s="25"/>
    </row>
    <row r="7" spans="1:14" x14ac:dyDescent="0.25">
      <c r="A7" s="1">
        <v>1</v>
      </c>
      <c r="B7" s="1">
        <v>500</v>
      </c>
      <c r="C7" s="1">
        <v>37</v>
      </c>
      <c r="D7" s="1"/>
      <c r="E7" s="1"/>
      <c r="F7" s="1"/>
      <c r="G7" s="1"/>
      <c r="H7" s="8">
        <f>C7</f>
        <v>37</v>
      </c>
      <c r="I7" s="15"/>
      <c r="J7" s="16"/>
      <c r="K7" s="16"/>
      <c r="L7" s="17">
        <f>H7</f>
        <v>37</v>
      </c>
      <c r="M7" s="8"/>
      <c r="N7" s="8">
        <f>IF(I1&lt;A8,H7,0)</f>
        <v>37</v>
      </c>
    </row>
    <row r="8" spans="1:14" x14ac:dyDescent="0.25">
      <c r="A8" s="1">
        <v>501</v>
      </c>
      <c r="B8" s="1">
        <v>2000</v>
      </c>
      <c r="C8" s="1">
        <v>37</v>
      </c>
      <c r="D8" s="1">
        <v>500</v>
      </c>
      <c r="E8" s="1">
        <v>5</v>
      </c>
      <c r="F8" s="1">
        <v>100</v>
      </c>
      <c r="G8" s="1">
        <v>2000</v>
      </c>
      <c r="H8" s="8">
        <f>C8+(((I1-D8)/F8)*E8)</f>
        <v>12</v>
      </c>
      <c r="I8" s="15">
        <f>I1-D8</f>
        <v>-500</v>
      </c>
      <c r="J8" s="16">
        <f>I8/F8</f>
        <v>-5</v>
      </c>
      <c r="K8" s="16">
        <f>J8*E8</f>
        <v>-25</v>
      </c>
      <c r="L8" s="17">
        <f>K8+C8</f>
        <v>12</v>
      </c>
      <c r="M8" s="8"/>
      <c r="N8" s="8">
        <f>IF(AND(I1&lt;A9,I1&gt;B7),H8,0)</f>
        <v>0</v>
      </c>
    </row>
    <row r="9" spans="1:14" x14ac:dyDescent="0.25">
      <c r="A9" s="3">
        <v>2001</v>
      </c>
      <c r="B9" s="3">
        <v>25000</v>
      </c>
      <c r="C9" s="1">
        <v>112</v>
      </c>
      <c r="D9" s="1">
        <v>2000</v>
      </c>
      <c r="E9" s="1">
        <v>15.5</v>
      </c>
      <c r="F9" s="1">
        <v>1000</v>
      </c>
      <c r="G9" s="1">
        <v>25000</v>
      </c>
      <c r="H9" s="8">
        <f>C9+(((I1-D9)/F9)*E9)</f>
        <v>81</v>
      </c>
      <c r="I9" s="15">
        <f>I1-D9</f>
        <v>-2000</v>
      </c>
      <c r="J9" s="16">
        <f t="shared" ref="J9:J14" si="0">I9/F9</f>
        <v>-2</v>
      </c>
      <c r="K9" s="16">
        <f t="shared" ref="K9:K14" si="1">J9*E9</f>
        <v>-31</v>
      </c>
      <c r="L9" s="17">
        <f t="shared" ref="L9:L14" si="2">K9+C9</f>
        <v>81</v>
      </c>
      <c r="M9" s="8"/>
      <c r="N9" s="8">
        <f>IF(AND(I1&lt;A10,I1&gt;B8),H9,0)</f>
        <v>0</v>
      </c>
    </row>
    <row r="10" spans="1:14" x14ac:dyDescent="0.25">
      <c r="A10" s="3">
        <v>25001</v>
      </c>
      <c r="B10" s="3">
        <v>50000</v>
      </c>
      <c r="C10" s="1">
        <v>537.5</v>
      </c>
      <c r="D10" s="1">
        <v>25000</v>
      </c>
      <c r="E10" s="1">
        <v>13</v>
      </c>
      <c r="F10" s="1">
        <v>1000</v>
      </c>
      <c r="G10" s="1">
        <v>50000</v>
      </c>
      <c r="H10" s="8">
        <f>C10+(((I1-D10)/F10)*E10)</f>
        <v>212.5</v>
      </c>
      <c r="I10" s="15">
        <f>I1-D10</f>
        <v>-25000</v>
      </c>
      <c r="J10" s="16">
        <f t="shared" si="0"/>
        <v>-25</v>
      </c>
      <c r="K10" s="16">
        <f t="shared" si="1"/>
        <v>-325</v>
      </c>
      <c r="L10" s="17">
        <f t="shared" si="2"/>
        <v>212.5</v>
      </c>
      <c r="M10" s="8"/>
      <c r="N10" s="8">
        <f>IF(AND(I1&lt;A11,I1&gt;B9),H10,0)</f>
        <v>0</v>
      </c>
    </row>
    <row r="11" spans="1:14" x14ac:dyDescent="0.25">
      <c r="A11" s="3">
        <v>50001</v>
      </c>
      <c r="B11" s="3">
        <v>100000</v>
      </c>
      <c r="C11" s="1">
        <v>862.5</v>
      </c>
      <c r="D11" s="1">
        <v>50000</v>
      </c>
      <c r="E11" s="1">
        <v>10.5</v>
      </c>
      <c r="F11" s="1">
        <v>1000</v>
      </c>
      <c r="G11" s="1">
        <v>100000</v>
      </c>
      <c r="H11" s="8">
        <f>C11+(((I1-D11)/F11)*E11)</f>
        <v>337.5</v>
      </c>
      <c r="I11" s="15">
        <f>I1-D11</f>
        <v>-50000</v>
      </c>
      <c r="J11" s="16">
        <f t="shared" si="0"/>
        <v>-50</v>
      </c>
      <c r="K11" s="16">
        <f t="shared" si="1"/>
        <v>-525</v>
      </c>
      <c r="L11" s="17">
        <f t="shared" si="2"/>
        <v>337.5</v>
      </c>
      <c r="M11" s="8"/>
      <c r="N11" s="8">
        <f>IF(AND(I1&lt;A12,I1&gt;B10),H11,0)</f>
        <v>0</v>
      </c>
    </row>
    <row r="12" spans="1:14" x14ac:dyDescent="0.25">
      <c r="A12" s="3">
        <v>100001</v>
      </c>
      <c r="B12" s="3">
        <v>500000</v>
      </c>
      <c r="C12" s="1">
        <v>1387.5</v>
      </c>
      <c r="D12" s="1">
        <v>100000</v>
      </c>
      <c r="E12" s="1">
        <v>8.1</v>
      </c>
      <c r="F12" s="1">
        <v>1000</v>
      </c>
      <c r="G12" s="1">
        <v>500000</v>
      </c>
      <c r="H12" s="8">
        <f>C12+(((I1-D12)/F12)*E12)</f>
        <v>577.5</v>
      </c>
      <c r="I12" s="15">
        <f>I1-D12</f>
        <v>-100000</v>
      </c>
      <c r="J12" s="16">
        <f t="shared" si="0"/>
        <v>-100</v>
      </c>
      <c r="K12" s="16">
        <f t="shared" si="1"/>
        <v>-810</v>
      </c>
      <c r="L12" s="17">
        <f t="shared" si="2"/>
        <v>577.5</v>
      </c>
      <c r="M12" s="8"/>
      <c r="N12" s="8">
        <f>IF(AND(I1&lt;A13,I1&gt;B11),H12,0)</f>
        <v>0</v>
      </c>
    </row>
    <row r="13" spans="1:14" x14ac:dyDescent="0.25">
      <c r="A13" s="3">
        <v>500001</v>
      </c>
      <c r="B13" s="3">
        <v>1000000</v>
      </c>
      <c r="C13" s="1">
        <v>4627.5</v>
      </c>
      <c r="D13" s="1">
        <v>500000</v>
      </c>
      <c r="E13" s="1">
        <v>7</v>
      </c>
      <c r="F13" s="1">
        <v>1000</v>
      </c>
      <c r="G13" s="1">
        <v>1000000</v>
      </c>
      <c r="H13" s="8">
        <f>C13+(((I1-D13)/F13)*E13)</f>
        <v>1127.5</v>
      </c>
      <c r="I13" s="15">
        <f>MI1-D13</f>
        <v>-500000</v>
      </c>
      <c r="J13" s="16">
        <f t="shared" si="0"/>
        <v>-500</v>
      </c>
      <c r="K13" s="16">
        <f t="shared" si="1"/>
        <v>-3500</v>
      </c>
      <c r="L13" s="17">
        <f t="shared" si="2"/>
        <v>1127.5</v>
      </c>
      <c r="M13" s="8"/>
      <c r="N13" s="8">
        <f>IF(AND(I1&lt;A14,I1&gt;A13),H13,0)</f>
        <v>0</v>
      </c>
    </row>
    <row r="14" spans="1:14" ht="15.75" thickBot="1" x14ac:dyDescent="0.3">
      <c r="A14" s="3">
        <v>1000001</v>
      </c>
      <c r="B14" s="3" t="s">
        <v>10</v>
      </c>
      <c r="C14" s="1">
        <v>8127.5</v>
      </c>
      <c r="D14" s="1">
        <v>1000000</v>
      </c>
      <c r="E14" s="1">
        <v>5.5</v>
      </c>
      <c r="F14" s="1">
        <v>1000</v>
      </c>
      <c r="G14" s="1"/>
      <c r="H14" s="8">
        <f>C14+(((I1-D14)/F14)*E14)</f>
        <v>2627.5</v>
      </c>
      <c r="I14" s="18">
        <f>I1-D14</f>
        <v>-1000000</v>
      </c>
      <c r="J14" s="19">
        <f t="shared" si="0"/>
        <v>-1000</v>
      </c>
      <c r="K14" s="19">
        <f t="shared" si="1"/>
        <v>-5500</v>
      </c>
      <c r="L14" s="20">
        <f t="shared" si="2"/>
        <v>2627.5</v>
      </c>
      <c r="M14" s="8"/>
      <c r="N14" s="8">
        <f>IF(I1&gt;A14,H14,0)</f>
        <v>0</v>
      </c>
    </row>
    <row r="18" spans="1:14" x14ac:dyDescent="0.25">
      <c r="A18" s="5" t="s">
        <v>12</v>
      </c>
      <c r="B18" s="5"/>
      <c r="C18" s="5"/>
      <c r="D18" s="5"/>
      <c r="E18" s="5"/>
      <c r="F18" s="5"/>
      <c r="G18" s="6"/>
      <c r="H18" s="5"/>
    </row>
    <row r="19" spans="1:14" x14ac:dyDescent="0.25">
      <c r="G19" s="2"/>
    </row>
    <row r="20" spans="1:14" ht="15.75" thickBot="1" x14ac:dyDescent="0.3">
      <c r="A20" s="24" t="s">
        <v>2</v>
      </c>
      <c r="B20" s="25"/>
      <c r="C20" s="24" t="s">
        <v>5</v>
      </c>
      <c r="D20" s="24"/>
      <c r="E20" s="24"/>
      <c r="F20" s="25"/>
      <c r="G20" s="25"/>
      <c r="H20" s="25"/>
      <c r="L20" s="50" t="s">
        <v>35</v>
      </c>
      <c r="M20" s="50"/>
      <c r="N20" s="50"/>
    </row>
    <row r="21" spans="1:14" x14ac:dyDescent="0.25">
      <c r="A21" s="24" t="s">
        <v>3</v>
      </c>
      <c r="B21" s="25" t="s">
        <v>4</v>
      </c>
      <c r="C21" s="24" t="s">
        <v>7</v>
      </c>
      <c r="D21" s="24" t="s">
        <v>14</v>
      </c>
      <c r="E21" s="24" t="s">
        <v>15</v>
      </c>
      <c r="F21" s="48" t="s">
        <v>16</v>
      </c>
      <c r="G21" s="49"/>
      <c r="H21" s="25"/>
      <c r="L21" s="50"/>
      <c r="M21" s="50"/>
      <c r="N21" s="50"/>
    </row>
    <row r="22" spans="1:14" x14ac:dyDescent="0.25">
      <c r="A22" s="2">
        <v>1</v>
      </c>
      <c r="B22">
        <v>500</v>
      </c>
      <c r="C22" s="1">
        <v>40.5</v>
      </c>
      <c r="D22" s="2"/>
      <c r="E22" s="8">
        <f>C22</f>
        <v>40.5</v>
      </c>
      <c r="F22" s="14"/>
      <c r="G22" s="21">
        <f>E22</f>
        <v>40.5</v>
      </c>
      <c r="H22" s="8">
        <f>IF((I2&lt;A23),E22,0)</f>
        <v>40.5</v>
      </c>
      <c r="I22" s="1"/>
      <c r="J22" s="1"/>
      <c r="K22" s="1"/>
      <c r="L22" s="50"/>
      <c r="M22" s="50"/>
      <c r="N22" s="50"/>
    </row>
    <row r="23" spans="1:14" x14ac:dyDescent="0.25">
      <c r="A23" s="1">
        <v>500.01</v>
      </c>
      <c r="B23" s="1">
        <v>1000</v>
      </c>
      <c r="C23" s="1">
        <v>47</v>
      </c>
      <c r="D23" s="4">
        <v>3.5000000000000003E-2</v>
      </c>
      <c r="E23" s="8">
        <f>C23+(D23*I2)</f>
        <v>47</v>
      </c>
      <c r="F23" s="15">
        <f>I2*D23</f>
        <v>0</v>
      </c>
      <c r="G23" s="17">
        <f>F23+C23</f>
        <v>47</v>
      </c>
      <c r="H23" s="8">
        <f>IF(AND(I2&lt;A24,I2&gt;B22),E23,0)</f>
        <v>0</v>
      </c>
      <c r="I23" s="1"/>
      <c r="J23" s="1"/>
      <c r="K23" s="1"/>
      <c r="L23" s="50"/>
      <c r="M23" s="50"/>
      <c r="N23" s="50"/>
    </row>
    <row r="24" spans="1:14" x14ac:dyDescent="0.25">
      <c r="A24" s="3">
        <v>1000.01</v>
      </c>
      <c r="B24" s="3">
        <v>5000</v>
      </c>
      <c r="C24" s="1">
        <v>82</v>
      </c>
      <c r="D24" s="4">
        <v>3.0499999999999999E-2</v>
      </c>
      <c r="E24" s="8">
        <f>C24+(D24*I2)</f>
        <v>82</v>
      </c>
      <c r="F24" s="15">
        <f>I2*D24</f>
        <v>0</v>
      </c>
      <c r="G24" s="17">
        <f t="shared" ref="G24:G28" si="3">F24+C24</f>
        <v>82</v>
      </c>
      <c r="H24" s="8">
        <f>IF(AND(I2&lt;A25,I2&gt;B23),E24,0)</f>
        <v>0</v>
      </c>
      <c r="I24" s="1"/>
      <c r="J24" s="1"/>
      <c r="K24" s="1"/>
      <c r="L24" s="50"/>
      <c r="M24" s="50"/>
      <c r="N24" s="50"/>
    </row>
    <row r="25" spans="1:14" x14ac:dyDescent="0.25">
      <c r="A25" s="3">
        <v>5000.01</v>
      </c>
      <c r="B25" s="3">
        <v>50000</v>
      </c>
      <c r="C25" s="1">
        <v>234</v>
      </c>
      <c r="D25" s="4">
        <v>1.7999999999999999E-2</v>
      </c>
      <c r="E25" s="8">
        <f>C25+(D25*I2)</f>
        <v>234</v>
      </c>
      <c r="F25" s="15">
        <f>I2*D25</f>
        <v>0</v>
      </c>
      <c r="G25" s="17">
        <f t="shared" si="3"/>
        <v>234</v>
      </c>
      <c r="H25" s="8">
        <f>IF(AND(I2&lt;A26,I2&gt;B24),E25,0)</f>
        <v>0</v>
      </c>
      <c r="I25" s="1"/>
      <c r="J25" s="1"/>
      <c r="K25" s="1"/>
      <c r="L25" s="1"/>
    </row>
    <row r="26" spans="1:14" x14ac:dyDescent="0.25">
      <c r="A26" s="3">
        <v>50000.01</v>
      </c>
      <c r="B26" s="3">
        <v>250000</v>
      </c>
      <c r="C26" s="1">
        <v>1127</v>
      </c>
      <c r="D26" s="4">
        <v>1.0500000000000001E-2</v>
      </c>
      <c r="E26" s="8">
        <f>C26+(D26*I2)</f>
        <v>1127</v>
      </c>
      <c r="F26" s="15">
        <f>I2*D26</f>
        <v>0</v>
      </c>
      <c r="G26" s="17">
        <f t="shared" si="3"/>
        <v>1127</v>
      </c>
      <c r="H26" s="8">
        <f>IF(AND(I2&lt;A27,I2&gt;B25),E26,0)</f>
        <v>0</v>
      </c>
      <c r="I26" s="1"/>
      <c r="J26" s="1"/>
      <c r="K26" s="1"/>
      <c r="L26" s="1"/>
    </row>
    <row r="27" spans="1:14" x14ac:dyDescent="0.25">
      <c r="A27" s="3">
        <v>250000.01</v>
      </c>
      <c r="B27" s="3">
        <v>1000000</v>
      </c>
      <c r="C27" s="1">
        <v>3752</v>
      </c>
      <c r="D27" s="4">
        <v>8.5000000000000006E-3</v>
      </c>
      <c r="E27" s="8">
        <f>C27+(D27*I2)</f>
        <v>3752</v>
      </c>
      <c r="F27" s="15">
        <f>I2*D27</f>
        <v>0</v>
      </c>
      <c r="G27" s="17">
        <f t="shared" si="3"/>
        <v>3752</v>
      </c>
      <c r="H27" s="8">
        <f>IF(AND(I2&lt;A28,I2&gt;B26),E27,0)</f>
        <v>0</v>
      </c>
      <c r="I27" s="1"/>
      <c r="J27" s="1"/>
      <c r="K27" s="1"/>
      <c r="L27" s="1"/>
    </row>
    <row r="28" spans="1:14" ht="15.75" thickBot="1" x14ac:dyDescent="0.3">
      <c r="A28" s="3">
        <v>1000000.01</v>
      </c>
      <c r="B28" s="3" t="s">
        <v>13</v>
      </c>
      <c r="C28" s="1">
        <v>12152</v>
      </c>
      <c r="D28" s="4">
        <v>4.7000000000000002E-3</v>
      </c>
      <c r="E28" s="8">
        <f>C28+(D28*I2)</f>
        <v>12152</v>
      </c>
      <c r="F28" s="18">
        <f>I2*D28</f>
        <v>0</v>
      </c>
      <c r="G28" s="20">
        <f t="shared" si="3"/>
        <v>12152</v>
      </c>
      <c r="H28" s="8">
        <f>IF((I2&gt;A28),E28,0)</f>
        <v>0</v>
      </c>
      <c r="I28" s="1"/>
      <c r="J28" s="1"/>
      <c r="K28" s="1"/>
      <c r="L28" s="1"/>
    </row>
    <row r="29" spans="1:14" x14ac:dyDescent="0.25">
      <c r="A29" s="3"/>
      <c r="B29" s="3"/>
      <c r="C29" s="2"/>
      <c r="D29" s="2"/>
      <c r="E29" s="2"/>
      <c r="F29" s="2"/>
    </row>
    <row r="32" spans="1:14" x14ac:dyDescent="0.25">
      <c r="A32" s="5" t="s">
        <v>19</v>
      </c>
      <c r="B32" s="5"/>
      <c r="C32" s="5"/>
      <c r="D32" s="5"/>
      <c r="E32" s="5"/>
      <c r="F32" s="5"/>
      <c r="G32" s="5"/>
      <c r="H32" s="5"/>
    </row>
    <row r="33" spans="1:2" x14ac:dyDescent="0.25">
      <c r="A33" s="10">
        <v>0.65</v>
      </c>
    </row>
    <row r="34" spans="1:2" x14ac:dyDescent="0.25">
      <c r="A34" s="10">
        <v>0.5</v>
      </c>
      <c r="B34" t="s">
        <v>20</v>
      </c>
    </row>
  </sheetData>
  <sheetProtection algorithmName="SHA-512" hashValue="sKc1wTK3rZSP34fNMhRiG9zOmoMfaPa2UrmQf4kJUIgIQbgsUDC613vCkoTMal7ns/WKEFSNR3HozJ1DL88aOQ==" saltValue="PUF2nlwKH80D8cQ1izVx1A==" spinCount="100000" sheet="1" objects="1" scenarios="1"/>
  <mergeCells count="3">
    <mergeCell ref="I5:L5"/>
    <mergeCell ref="F21:G21"/>
    <mergeCell ref="L20: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6E8C-4529-4F79-AB75-F299CF0BCE50}">
  <dimension ref="A1:K26"/>
  <sheetViews>
    <sheetView workbookViewId="0">
      <selection activeCell="F11" sqref="F11"/>
    </sheetView>
  </sheetViews>
  <sheetFormatPr defaultRowHeight="15.75" x14ac:dyDescent="0.25"/>
  <cols>
    <col min="1" max="1" width="15.42578125" style="33" customWidth="1"/>
    <col min="2" max="2" width="16.5703125" style="33" customWidth="1"/>
    <col min="3" max="3" width="14.42578125" style="33" bestFit="1" customWidth="1"/>
    <col min="4" max="4" width="15.7109375" style="33" customWidth="1"/>
    <col min="5" max="5" width="16.28515625" style="33" customWidth="1"/>
    <col min="6" max="6" width="12.85546875" style="33" customWidth="1"/>
    <col min="7" max="7" width="20.85546875" style="33" customWidth="1"/>
    <col min="8" max="8" width="12.85546875" style="33" customWidth="1"/>
    <col min="9" max="9" width="27" style="33" customWidth="1"/>
    <col min="10" max="10" width="14.28515625" style="33" customWidth="1"/>
    <col min="11" max="16384" width="9.140625" style="33"/>
  </cols>
  <sheetData>
    <row r="1" spans="1:11" x14ac:dyDescent="0.25">
      <c r="B1" s="13" t="s">
        <v>30</v>
      </c>
      <c r="C1" s="11" t="s">
        <v>17</v>
      </c>
      <c r="D1" s="22">
        <f>'Build-Plan Fees'!F8</f>
        <v>0</v>
      </c>
      <c r="F1" s="33" t="s">
        <v>53</v>
      </c>
      <c r="G1" s="33">
        <f>G14</f>
        <v>0</v>
      </c>
      <c r="H1" s="33" t="s">
        <v>37</v>
      </c>
      <c r="I1" s="33">
        <f>H14</f>
        <v>0</v>
      </c>
    </row>
    <row r="2" spans="1:11" x14ac:dyDescent="0.25">
      <c r="B2" s="13" t="s">
        <v>31</v>
      </c>
      <c r="C2" s="11" t="s">
        <v>17</v>
      </c>
      <c r="D2" s="22">
        <f>D1</f>
        <v>0</v>
      </c>
      <c r="F2" s="33" t="s">
        <v>53</v>
      </c>
      <c r="G2" s="33">
        <f>G26</f>
        <v>0</v>
      </c>
      <c r="H2" s="33" t="s">
        <v>37</v>
      </c>
      <c r="I2" s="33">
        <f>H26</f>
        <v>0</v>
      </c>
    </row>
    <row r="3" spans="1:11" x14ac:dyDescent="0.25">
      <c r="A3" s="31" t="s">
        <v>1</v>
      </c>
      <c r="B3" s="32"/>
      <c r="C3" s="31"/>
      <c r="D3" s="31"/>
      <c r="E3" s="31"/>
      <c r="F3" s="32"/>
      <c r="G3" s="32"/>
      <c r="H3" s="32"/>
    </row>
    <row r="4" spans="1:11" x14ac:dyDescent="0.25">
      <c r="A4" s="34" t="s">
        <v>2</v>
      </c>
      <c r="B4" s="35"/>
      <c r="C4" s="34" t="s">
        <v>5</v>
      </c>
      <c r="D4" s="34"/>
      <c r="E4" s="34" t="s">
        <v>6</v>
      </c>
      <c r="F4" s="35"/>
      <c r="G4" s="35"/>
      <c r="H4" s="35"/>
    </row>
    <row r="5" spans="1:11" x14ac:dyDescent="0.25">
      <c r="A5" s="34" t="s">
        <v>3</v>
      </c>
      <c r="B5" s="35" t="s">
        <v>4</v>
      </c>
      <c r="C5" s="34" t="s">
        <v>7</v>
      </c>
      <c r="D5" s="34" t="s">
        <v>8</v>
      </c>
      <c r="E5" s="34" t="s">
        <v>7</v>
      </c>
      <c r="F5" s="34" t="s">
        <v>11</v>
      </c>
      <c r="G5" s="34"/>
      <c r="H5" s="34"/>
      <c r="I5" s="34" t="s">
        <v>36</v>
      </c>
      <c r="J5" s="34" t="s">
        <v>37</v>
      </c>
    </row>
    <row r="6" spans="1:11" x14ac:dyDescent="0.25">
      <c r="A6" s="36">
        <v>1</v>
      </c>
      <c r="B6" s="36">
        <v>500</v>
      </c>
      <c r="C6" s="36">
        <v>37</v>
      </c>
      <c r="D6" s="36"/>
      <c r="E6" s="36"/>
      <c r="F6" s="36"/>
      <c r="G6" s="42">
        <f>IF(AND(D1&gt;A6,D1&lt;B6),I6,)</f>
        <v>0</v>
      </c>
      <c r="H6" s="43">
        <f>IF(AND(D1&gt;A6,D1&lt;B6),J6,0)</f>
        <v>0</v>
      </c>
      <c r="I6" s="44" t="str">
        <f>_xlfn.TEXTJOIN("-",,$A6,$B6)</f>
        <v>1-500</v>
      </c>
      <c r="J6" s="33" t="s">
        <v>50</v>
      </c>
    </row>
    <row r="7" spans="1:11" x14ac:dyDescent="0.25">
      <c r="A7" s="36">
        <v>501</v>
      </c>
      <c r="B7" s="36">
        <v>2000</v>
      </c>
      <c r="C7" s="36">
        <v>37</v>
      </c>
      <c r="D7" s="36">
        <v>500</v>
      </c>
      <c r="E7" s="36">
        <v>5</v>
      </c>
      <c r="F7" s="36">
        <v>100</v>
      </c>
      <c r="G7" s="42">
        <f>IF(AND(D1&gt;A7,D1&lt;A8),I7,0)</f>
        <v>0</v>
      </c>
      <c r="H7" s="43">
        <f>IF(AND(D1&gt;A7,D1&lt;B7),J7,0)</f>
        <v>0</v>
      </c>
      <c r="I7" s="44" t="str">
        <f t="shared" ref="I7:I13" si="0">_xlfn.TEXTJOIN("-",,A7,B7)</f>
        <v>501-2000</v>
      </c>
      <c r="J7" s="33" t="s">
        <v>38</v>
      </c>
    </row>
    <row r="8" spans="1:11" x14ac:dyDescent="0.25">
      <c r="A8" s="37">
        <v>2001</v>
      </c>
      <c r="B8" s="37">
        <v>25000</v>
      </c>
      <c r="C8" s="36">
        <v>112</v>
      </c>
      <c r="D8" s="36">
        <v>2000</v>
      </c>
      <c r="E8" s="36">
        <v>15.5</v>
      </c>
      <c r="F8" s="36">
        <v>1000</v>
      </c>
      <c r="G8" s="42">
        <f>IF(AND(D1&gt;A8,D1&lt;A9),I8,0)</f>
        <v>0</v>
      </c>
      <c r="H8" s="43">
        <f>IF(AND(D1&gt;A8,D1&lt;B8),J8,0)</f>
        <v>0</v>
      </c>
      <c r="I8" s="44" t="str">
        <f t="shared" si="0"/>
        <v>2001-25000</v>
      </c>
      <c r="J8" s="29" t="s">
        <v>39</v>
      </c>
      <c r="K8" s="29"/>
    </row>
    <row r="9" spans="1:11" x14ac:dyDescent="0.25">
      <c r="A9" s="37">
        <v>25001</v>
      </c>
      <c r="B9" s="37">
        <v>50000</v>
      </c>
      <c r="C9" s="36">
        <v>537.5</v>
      </c>
      <c r="D9" s="36">
        <v>25000</v>
      </c>
      <c r="E9" s="36">
        <v>13</v>
      </c>
      <c r="F9" s="36">
        <v>1000</v>
      </c>
      <c r="G9" s="42">
        <f>IF(AND(D1&gt;A9,D1&lt;A10),I9,0)</f>
        <v>0</v>
      </c>
      <c r="H9" s="43">
        <f>IF(AND(D1&gt;A9,D1&lt;B9),J9,0)</f>
        <v>0</v>
      </c>
      <c r="I9" s="44" t="str">
        <f t="shared" si="0"/>
        <v>25001-50000</v>
      </c>
      <c r="J9" s="29" t="s">
        <v>40</v>
      </c>
      <c r="K9" s="29"/>
    </row>
    <row r="10" spans="1:11" x14ac:dyDescent="0.25">
      <c r="A10" s="37">
        <v>50001</v>
      </c>
      <c r="B10" s="37">
        <v>100000</v>
      </c>
      <c r="C10" s="36">
        <v>862.5</v>
      </c>
      <c r="D10" s="36">
        <v>50000</v>
      </c>
      <c r="E10" s="36">
        <v>10.5</v>
      </c>
      <c r="F10" s="36">
        <v>1000</v>
      </c>
      <c r="G10" s="42">
        <f>IF(AND(D1&gt;A10,D1&lt;A11),I10,0)</f>
        <v>0</v>
      </c>
      <c r="H10" s="43">
        <f>IF(AND(D1&gt;A10,D1&lt;B10),J10,0)</f>
        <v>0</v>
      </c>
      <c r="I10" s="44" t="str">
        <f t="shared" si="0"/>
        <v>50001-100000</v>
      </c>
      <c r="J10" s="29" t="s">
        <v>41</v>
      </c>
      <c r="K10" s="29"/>
    </row>
    <row r="11" spans="1:11" x14ac:dyDescent="0.25">
      <c r="A11" s="37">
        <v>100001</v>
      </c>
      <c r="B11" s="37">
        <v>500000</v>
      </c>
      <c r="C11" s="36">
        <v>1387.5</v>
      </c>
      <c r="D11" s="36">
        <v>100000</v>
      </c>
      <c r="E11" s="36">
        <v>8.1</v>
      </c>
      <c r="F11" s="36">
        <v>1000</v>
      </c>
      <c r="G11" s="42">
        <f>IF(AND(D1&gt;A11,D1&lt;A12),I11,0)</f>
        <v>0</v>
      </c>
      <c r="H11" s="43">
        <f>IF(AND(D1&gt;A11,D1&lt;B11),J11,0)</f>
        <v>0</v>
      </c>
      <c r="I11" s="44" t="str">
        <f t="shared" si="0"/>
        <v>100001-500000</v>
      </c>
      <c r="J11" s="29" t="s">
        <v>42</v>
      </c>
      <c r="K11" s="29"/>
    </row>
    <row r="12" spans="1:11" x14ac:dyDescent="0.25">
      <c r="A12" s="37">
        <v>500001</v>
      </c>
      <c r="B12" s="37">
        <v>1000000</v>
      </c>
      <c r="C12" s="36">
        <v>4627.5</v>
      </c>
      <c r="D12" s="36">
        <v>500000</v>
      </c>
      <c r="E12" s="36">
        <v>7</v>
      </c>
      <c r="F12" s="36">
        <v>1000</v>
      </c>
      <c r="G12" s="42">
        <f>IF(AND(D1&gt;A12,D1&lt;A13),I12,0)</f>
        <v>0</v>
      </c>
      <c r="H12" s="43">
        <f>IF(AND(D1&gt;A12,D1&lt;B12),J12,0)</f>
        <v>0</v>
      </c>
      <c r="I12" s="44" t="str">
        <f t="shared" si="0"/>
        <v>500001-1000000</v>
      </c>
      <c r="J12" s="29" t="s">
        <v>43</v>
      </c>
      <c r="K12" s="29"/>
    </row>
    <row r="13" spans="1:11" x14ac:dyDescent="0.25">
      <c r="A13" s="37">
        <v>1000001</v>
      </c>
      <c r="B13" s="37" t="s">
        <v>10</v>
      </c>
      <c r="C13" s="36">
        <v>8127.5</v>
      </c>
      <c r="D13" s="36">
        <v>1000000</v>
      </c>
      <c r="E13" s="36">
        <v>5.5</v>
      </c>
      <c r="F13" s="36">
        <v>1000</v>
      </c>
      <c r="G13" s="42">
        <f>IF(D1&gt;A13,I13,0)</f>
        <v>0</v>
      </c>
      <c r="H13" s="43">
        <f>IF(AND(D1&gt;A13,D1&lt;B13),J13,0)</f>
        <v>0</v>
      </c>
      <c r="I13" s="44" t="str">
        <f t="shared" si="0"/>
        <v>1000001-and up</v>
      </c>
      <c r="J13" s="29" t="s">
        <v>44</v>
      </c>
      <c r="K13" s="29"/>
    </row>
    <row r="14" spans="1:11" x14ac:dyDescent="0.25">
      <c r="G14" s="33">
        <f>IF(G6&gt;0,G6,IF(G7&gt;0,G7,IF(G8&gt;0,G8,IF(G9&gt;0,G9,IF(G10&gt;0,G10,IF(G11&gt;0,G11,IF(G12&gt;0,G12,IF(G13&gt;0,G13,0))))))))</f>
        <v>0</v>
      </c>
      <c r="H14" s="39">
        <f>IF(H6&gt;0,H6,IF(H7&gt;0,H7,IF(H8&gt;0,H8,IF(H9&gt;0,H9,IF(H10&gt;0,H10,IF(H11&gt;0,H11,IF(H12&gt;0,H12,IF(H13&gt;0,H13,0))))))))</f>
        <v>0</v>
      </c>
    </row>
    <row r="15" spans="1:11" x14ac:dyDescent="0.25">
      <c r="H15" s="39"/>
    </row>
    <row r="16" spans="1:11" x14ac:dyDescent="0.25">
      <c r="A16" s="32" t="s">
        <v>12</v>
      </c>
      <c r="B16" s="32"/>
      <c r="C16" s="32"/>
      <c r="D16" s="32"/>
      <c r="H16" s="39"/>
    </row>
    <row r="17" spans="1:11" x14ac:dyDescent="0.25">
      <c r="A17" s="34" t="s">
        <v>2</v>
      </c>
      <c r="B17" s="35"/>
      <c r="C17" s="34" t="s">
        <v>5</v>
      </c>
      <c r="D17" s="34"/>
      <c r="E17" s="38"/>
      <c r="F17" s="38"/>
      <c r="G17" s="38"/>
      <c r="H17" s="41"/>
      <c r="I17" s="38"/>
      <c r="J17" s="38"/>
    </row>
    <row r="18" spans="1:11" x14ac:dyDescent="0.25">
      <c r="A18" s="34" t="s">
        <v>3</v>
      </c>
      <c r="B18" s="35" t="s">
        <v>4</v>
      </c>
      <c r="C18" s="34" t="s">
        <v>7</v>
      </c>
      <c r="D18" s="34" t="s">
        <v>14</v>
      </c>
      <c r="E18" s="38"/>
      <c r="F18" s="38"/>
      <c r="G18" s="38"/>
      <c r="H18" s="41"/>
      <c r="I18" s="34" t="s">
        <v>36</v>
      </c>
      <c r="J18" s="34" t="s">
        <v>37</v>
      </c>
    </row>
    <row r="19" spans="1:11" x14ac:dyDescent="0.25">
      <c r="A19" s="36">
        <v>1</v>
      </c>
      <c r="B19" s="36">
        <v>500</v>
      </c>
      <c r="C19" s="36">
        <v>40.5</v>
      </c>
      <c r="D19" s="39"/>
      <c r="G19" s="42">
        <f>IF(AND(D2&gt;A19,D2&lt;B19),I19,0)</f>
        <v>0</v>
      </c>
      <c r="H19" s="43">
        <f>IF(AND(D2&gt;A19,D2&lt;B19),J19,0)</f>
        <v>0</v>
      </c>
      <c r="I19" s="42" t="str">
        <f>_xlfn.TEXTJOIN("-",,A19,B19)</f>
        <v>1-500</v>
      </c>
      <c r="J19" s="33" t="s">
        <v>50</v>
      </c>
    </row>
    <row r="20" spans="1:11" x14ac:dyDescent="0.25">
      <c r="A20" s="36">
        <v>500.01</v>
      </c>
      <c r="B20" s="36">
        <v>1000</v>
      </c>
      <c r="C20" s="36">
        <v>47</v>
      </c>
      <c r="D20" s="40">
        <v>3.5000000000000003E-2</v>
      </c>
      <c r="G20" s="42">
        <f>IF(AND(D2&gt;A20,D2&lt;B20),I20,0)</f>
        <v>0</v>
      </c>
      <c r="H20" s="43">
        <f>IF(AND(D2&gt;A20,D2&lt;B20),J20,0)</f>
        <v>0</v>
      </c>
      <c r="I20" s="42" t="str">
        <f t="shared" ref="I20:I25" si="1">_xlfn.TEXTJOIN("-",,A20,B20)</f>
        <v>500.01-1000</v>
      </c>
      <c r="J20" s="29" t="s">
        <v>45</v>
      </c>
      <c r="K20" s="30"/>
    </row>
    <row r="21" spans="1:11" x14ac:dyDescent="0.25">
      <c r="A21" s="37">
        <v>1000.01</v>
      </c>
      <c r="B21" s="37">
        <v>5000</v>
      </c>
      <c r="C21" s="36">
        <v>82</v>
      </c>
      <c r="D21" s="40">
        <v>3.0499999999999999E-2</v>
      </c>
      <c r="G21" s="42">
        <f>IF(AND(D2&gt;A21,D2&lt;B21),I21,0)</f>
        <v>0</v>
      </c>
      <c r="H21" s="43">
        <f>IF(AND(D2&gt;A21,D2&lt;B21),J21,0)</f>
        <v>0</v>
      </c>
      <c r="I21" s="42" t="str">
        <f t="shared" si="1"/>
        <v>1000.01-5000</v>
      </c>
      <c r="J21" s="29" t="s">
        <v>46</v>
      </c>
      <c r="K21" s="30"/>
    </row>
    <row r="22" spans="1:11" x14ac:dyDescent="0.25">
      <c r="A22" s="37">
        <v>5000.01</v>
      </c>
      <c r="B22" s="37">
        <v>50000</v>
      </c>
      <c r="C22" s="36">
        <v>234</v>
      </c>
      <c r="D22" s="40">
        <v>1.7999999999999999E-2</v>
      </c>
      <c r="G22" s="42">
        <f>IF(AND(D2&gt;A22,D2&lt;B22),I22,0)</f>
        <v>0</v>
      </c>
      <c r="H22" s="43">
        <f>IF(AND(D2&gt;A22,D2&lt;B22),J22,0)</f>
        <v>0</v>
      </c>
      <c r="I22" s="42" t="str">
        <f t="shared" si="1"/>
        <v>5000.01-50000</v>
      </c>
      <c r="J22" s="29" t="s">
        <v>47</v>
      </c>
      <c r="K22" s="30"/>
    </row>
    <row r="23" spans="1:11" x14ac:dyDescent="0.25">
      <c r="A23" s="37">
        <v>50000.01</v>
      </c>
      <c r="B23" s="37">
        <v>250000</v>
      </c>
      <c r="C23" s="36">
        <v>1127</v>
      </c>
      <c r="D23" s="40">
        <v>1.0500000000000001E-2</v>
      </c>
      <c r="G23" s="42">
        <f>IF(AND(D2&gt;A23,D2&lt;B23),I23,0)</f>
        <v>0</v>
      </c>
      <c r="H23" s="43">
        <f>IF(AND(D2&gt;A23,D2&lt;B23),J23,0)</f>
        <v>0</v>
      </c>
      <c r="I23" s="42" t="str">
        <f t="shared" si="1"/>
        <v>50000.01-250000</v>
      </c>
      <c r="J23" s="29" t="s">
        <v>48</v>
      </c>
      <c r="K23" s="30"/>
    </row>
    <row r="24" spans="1:11" x14ac:dyDescent="0.25">
      <c r="A24" s="37">
        <v>250000.01</v>
      </c>
      <c r="B24" s="37">
        <v>1000000</v>
      </c>
      <c r="C24" s="36">
        <v>3752</v>
      </c>
      <c r="D24" s="40">
        <v>8.5000000000000006E-3</v>
      </c>
      <c r="G24" s="42">
        <f>IF(AND(D2&gt;A24,D2&lt;B24),I24,0)</f>
        <v>0</v>
      </c>
      <c r="H24" s="43">
        <f>IF(AND(D2&gt;A24,D2&lt;B24),J24,0)</f>
        <v>0</v>
      </c>
      <c r="I24" s="42" t="str">
        <f t="shared" si="1"/>
        <v>250000.01-1000000</v>
      </c>
      <c r="J24" s="29" t="s">
        <v>49</v>
      </c>
      <c r="K24" s="30"/>
    </row>
    <row r="25" spans="1:11" x14ac:dyDescent="0.25">
      <c r="A25" s="37">
        <v>1000000.01</v>
      </c>
      <c r="B25" s="37" t="s">
        <v>13</v>
      </c>
      <c r="C25" s="36">
        <v>12152</v>
      </c>
      <c r="D25" s="40">
        <v>4.7000000000000002E-3</v>
      </c>
      <c r="G25" s="42">
        <f>IF(AND(D2&gt;A25,D2&lt;B25),I25,0)</f>
        <v>0</v>
      </c>
      <c r="H25" s="43">
        <f>IF(AND(D2&gt;A25,D2&lt;B25),J25,0)</f>
        <v>0</v>
      </c>
      <c r="I25" s="42" t="str">
        <f t="shared" si="1"/>
        <v xml:space="preserve">1000000.01-and up </v>
      </c>
      <c r="J25" s="29" t="s">
        <v>55</v>
      </c>
      <c r="K25" s="30"/>
    </row>
    <row r="26" spans="1:11" x14ac:dyDescent="0.25">
      <c r="G26" s="33">
        <f>IF(G19&gt;0,G19,IF(G20&gt;0,G20,IF(G21&gt;0,G21,IF(G22&gt;0,G22,IF(G23&gt;0,G23,IF(G24&gt;0,G24,IF(G25&gt;0,G25,0)))))))</f>
        <v>0</v>
      </c>
      <c r="H26" s="33">
        <f>IF(H19&gt;0,H19,IF(H20&gt;0,H20,IF(H21&gt;0,H21,IF(H22&gt;0,H22,IF(H23&gt;0,H23,IF(H24&gt;0,H24,IF(H25&gt;0,H25,0)))))))</f>
        <v>0</v>
      </c>
    </row>
  </sheetData>
  <sheetProtection algorithmName="SHA-512" hashValue="F8BRAHs/ZfipZnNzK1SZdLa6sI17YYS7zr0l/lP75gOwJ6/5umFYO+a2WpTJXgpT7+Syjh4agvZAqg7Durn6Yw==" saltValue="3cV5GrW8AKDbLrn+Xl7tsQ==" spinCount="100000" sheet="1" objects="1" scenarios="1"/>
  <dataConsolidate function="mi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Build-Plan Fees</vt:lpstr>
      <vt:lpstr>Valuation Calculations</vt:lpstr>
      <vt:lpstr>Invoice Wording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Hogan</dc:creator>
  <cp:lastModifiedBy>Amanda Hogan</cp:lastModifiedBy>
  <dcterms:created xsi:type="dcterms:W3CDTF">2023-05-16T17:57:08Z</dcterms:created>
  <dcterms:modified xsi:type="dcterms:W3CDTF">2023-11-03T18:00:40Z</dcterms:modified>
</cp:coreProperties>
</file>